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.hicks\Documents\OneDrive - Commonwealth of Kentucky\John.Hicks (eas.ds.ky.govdfsosbdusers)\SAFE Funds\"/>
    </mc:Choice>
  </mc:AlternateContent>
  <xr:revisionPtr revIDLastSave="0" documentId="13_ncr:1_{82E97AC7-6CAD-4587-9CAB-2BBFB0802032}" xr6:coauthVersionLast="47" xr6:coauthVersionMax="47" xr10:uidLastSave="{00000000-0000-0000-0000-000000000000}"/>
  <bookViews>
    <workbookView xWindow="-1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B28" i="1"/>
  <c r="K27" i="1"/>
  <c r="B27" i="1"/>
  <c r="D57" i="2" l="1"/>
  <c r="B57" i="2"/>
  <c r="B40" i="1" l="1"/>
  <c r="F40" i="1"/>
  <c r="E40" i="1"/>
  <c r="B45" i="2"/>
  <c r="G21" i="1" l="1"/>
  <c r="B21" i="1" l="1"/>
  <c r="D21" i="1"/>
  <c r="H46" i="2" l="1"/>
  <c r="B46" i="2"/>
  <c r="K30" i="1"/>
  <c r="B30" i="1"/>
  <c r="H36" i="2"/>
  <c r="B36" i="2"/>
  <c r="D59" i="2" l="1"/>
  <c r="B59" i="2"/>
  <c r="E36" i="2"/>
  <c r="B37" i="2"/>
  <c r="J36" i="1" l="1"/>
  <c r="B36" i="1"/>
  <c r="K23" i="1"/>
  <c r="B23" i="1"/>
  <c r="K24" i="1" l="1"/>
  <c r="B24" i="1"/>
  <c r="B72" i="2" l="1"/>
  <c r="H72" i="2"/>
  <c r="B16" i="1" l="1"/>
  <c r="K16" i="1"/>
  <c r="B3" i="1" l="1"/>
  <c r="E46" i="1" l="1"/>
  <c r="B46" i="1"/>
  <c r="B35" i="1"/>
  <c r="F48" i="2" l="1"/>
  <c r="D35" i="1"/>
  <c r="E21" i="1"/>
  <c r="B35" i="2"/>
  <c r="B28" i="2"/>
  <c r="B29" i="2"/>
  <c r="B33" i="1" l="1"/>
  <c r="D38" i="2"/>
  <c r="B38" i="2"/>
  <c r="D43" i="2"/>
  <c r="B43" i="2"/>
  <c r="D24" i="2"/>
  <c r="B24" i="2"/>
  <c r="H23" i="2"/>
  <c r="B23" i="2"/>
  <c r="B19" i="2" l="1"/>
  <c r="D27" i="2"/>
  <c r="B27" i="2"/>
  <c r="D18" i="2"/>
  <c r="B18" i="2"/>
  <c r="B16" i="2"/>
  <c r="H45" i="2" l="1"/>
  <c r="B45" i="1"/>
  <c r="F45" i="1"/>
  <c r="E45" i="1"/>
  <c r="B29" i="1" l="1"/>
  <c r="D21" i="2"/>
  <c r="G22" i="2"/>
  <c r="G48" i="2" s="1"/>
  <c r="B22" i="2"/>
  <c r="H48" i="2"/>
  <c r="D33" i="2"/>
  <c r="B33" i="2"/>
  <c r="B21" i="2" l="1"/>
  <c r="B20" i="2"/>
  <c r="J47" i="1" l="1"/>
  <c r="I47" i="1"/>
  <c r="H47" i="1"/>
  <c r="G47" i="1"/>
  <c r="B12" i="1" l="1"/>
  <c r="D26" i="2"/>
  <c r="B26" i="2"/>
  <c r="B4" i="2" l="1"/>
  <c r="B10" i="2" s="1"/>
  <c r="D62" i="2"/>
  <c r="B62" i="2"/>
  <c r="B63" i="2" s="1"/>
  <c r="B34" i="2"/>
  <c r="B15" i="2"/>
  <c r="B74" i="2"/>
  <c r="B75" i="2" s="1"/>
  <c r="E17" i="2" l="1"/>
  <c r="B40" i="2"/>
  <c r="B17" i="2"/>
  <c r="E33" i="2"/>
  <c r="B10" i="1" l="1"/>
  <c r="L10" i="1" s="1"/>
  <c r="L14" i="1"/>
  <c r="L46" i="1"/>
  <c r="L45" i="1"/>
  <c r="L44" i="1"/>
  <c r="L41" i="1"/>
  <c r="L40" i="1"/>
  <c r="L39" i="1"/>
  <c r="L38" i="1"/>
  <c r="L35" i="1"/>
  <c r="L31" i="1"/>
  <c r="L29" i="1"/>
  <c r="L28" i="1"/>
  <c r="L26" i="1"/>
  <c r="L24" i="1"/>
  <c r="L21" i="1"/>
  <c r="L20" i="1"/>
  <c r="L17" i="1"/>
  <c r="L15" i="1"/>
  <c r="L9" i="1"/>
  <c r="L8" i="1"/>
  <c r="E42" i="1"/>
  <c r="F37" i="1"/>
  <c r="K37" i="1"/>
  <c r="E37" i="1"/>
  <c r="F33" i="1"/>
  <c r="E33" i="1"/>
  <c r="E30" i="1"/>
  <c r="D30" i="1"/>
  <c r="F30" i="1"/>
  <c r="F27" i="1"/>
  <c r="D27" i="1"/>
  <c r="E27" i="1"/>
  <c r="D23" i="1"/>
  <c r="E23" i="1"/>
  <c r="D19" i="1"/>
  <c r="E19" i="1"/>
  <c r="F19" i="1"/>
  <c r="E16" i="1"/>
  <c r="D47" i="1" l="1"/>
  <c r="E47" i="1"/>
  <c r="K47" i="1"/>
  <c r="F47" i="1"/>
  <c r="L33" i="1"/>
  <c r="L37" i="1"/>
  <c r="L27" i="1"/>
  <c r="L23" i="1"/>
  <c r="B68" i="2"/>
  <c r="E24" i="2"/>
  <c r="E48" i="2" s="1"/>
  <c r="D36" i="2"/>
  <c r="D48" i="2" s="1"/>
  <c r="L30" i="1" l="1"/>
  <c r="B47" i="2"/>
  <c r="B48" i="2" l="1"/>
  <c r="B42" i="1" l="1"/>
  <c r="L42" i="1" s="1"/>
  <c r="L16" i="1" l="1"/>
  <c r="B19" i="1" l="1"/>
  <c r="L19" i="1" l="1"/>
  <c r="B47" i="1"/>
  <c r="B49" i="2"/>
  <c r="L47" i="1" l="1"/>
  <c r="B48" i="1"/>
  <c r="L48" i="1" l="1"/>
</calcChain>
</file>

<file path=xl/sharedStrings.xml><?xml version="1.0" encoding="utf-8"?>
<sst xmlns="http://schemas.openxmlformats.org/spreadsheetml/2006/main" count="272" uniqueCount="210">
  <si>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</si>
  <si>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</si>
  <si>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</si>
  <si>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</si>
  <si>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</si>
  <si>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</si>
  <si>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</si>
  <si>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</si>
  <si>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</si>
  <si>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</si>
  <si>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</si>
  <si>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</si>
  <si>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</si>
  <si>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</si>
  <si>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</si>
  <si>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</si>
  <si>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</si>
  <si>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</si>
  <si>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</si>
  <si>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</si>
  <si>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</si>
  <si>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</si>
  <si>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</si>
  <si>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</si>
  <si>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</si>
  <si>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</si>
  <si>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</si>
  <si>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</si>
  <si>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</si>
  <si>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</si>
  <si>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</si>
  <si>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</si>
  <si>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</si>
  <si>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</si>
  <si>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</si>
  <si>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</si>
  <si>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</si>
  <si>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</si>
  <si>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</si>
  <si>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</si>
  <si>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</si>
  <si>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</si>
  <si>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</si>
  <si>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</si>
  <si>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</si>
  <si>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</si>
  <si>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</si>
  <si>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</si>
  <si>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</si>
  <si>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</si>
  <si>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</si>
  <si>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</si>
  <si>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</si>
  <si>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</si>
  <si>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</si>
  <si>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</si>
  <si>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</si>
  <si>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</si>
  <si>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</si>
  <si>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</si>
  <si>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</si>
  <si>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</si>
  <si>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</si>
  <si>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</si>
  <si>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</si>
  <si>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</si>
  <si>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</si>
  <si>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</si>
  <si>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</si>
  <si>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</si>
  <si>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</si>
  <si>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</si>
  <si>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</si>
  <si>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</si>
  <si>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</si>
  <si>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</si>
  <si>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</si>
  <si>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</si>
  <si>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</si>
  <si>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</si>
  <si>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</si>
  <si>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</si>
  <si>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</si>
  <si>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</si>
  <si>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</si>
  <si>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</si>
  <si>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</si>
  <si>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</si>
  <si>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</si>
  <si>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</si>
  <si>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</si>
  <si>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</si>
  <si>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</si>
  <si>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</si>
  <si>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</si>
  <si>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</si>
  <si>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</si>
  <si>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</si>
  <si>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</si>
  <si>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</si>
  <si>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</si>
  <si>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</si>
  <si>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</si>
  <si>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</si>
  <si>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</si>
  <si>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</si>
  <si>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</si>
  <si>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</si>
  <si>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</si>
  <si>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</si>
  <si>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</si>
  <si>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</si>
  <si>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</si>
  <si>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</si>
  <si>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</si>
  <si>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</si>
  <si>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</si>
  <si>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</si>
  <si>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</si>
  <si>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</si>
  <si>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</si>
  <si>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</si>
  <si>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</si>
  <si>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</si>
  <si>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</si>
  <si>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</si>
  <si>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</si>
  <si>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</si>
  <si>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</si>
  <si>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</si>
  <si>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</si>
  <si>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</si>
  <si>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</si>
  <si>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</si>
  <si>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</si>
  <si>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</si>
  <si>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</si>
  <si>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</si>
  <si>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</si>
  <si>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</si>
  <si>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</si>
  <si>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</si>
  <si>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</si>
  <si>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</si>
  <si>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</si>
  <si>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</si>
  <si>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</si>
  <si>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</si>
  <si>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</si>
  <si>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</si>
  <si>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</si>
  <si>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</si>
  <si>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</si>
  <si>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</si>
  <si>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</si>
  <si>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</si>
  <si>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</si>
  <si>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</si>
  <si>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</si>
  <si>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</si>
  <si>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</si>
  <si>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</si>
  <si>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</si>
  <si>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</si>
  <si>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</si>
  <si>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</si>
  <si>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</si>
  <si>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</si>
  <si>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</si>
  <si>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</si>
  <si>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</si>
  <si>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</si>
  <si>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</si>
  <si>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</si>
  <si>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</si>
  <si>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</si>
  <si>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</si>
  <si>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</si>
  <si>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>Actions through December 31, 2023</t>
  </si>
  <si>
    <t xml:space="preserve">Beattyville, City of - sought funding for a secondary access for Silver Creek residents and sewer plant replacement parts. 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</si>
  <si>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</si>
  <si>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</si>
  <si>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</si>
  <si>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Floyd County - strained fiscal liquidity, sought funding for uphill slide sites, creek silt/debris removal. </t>
  </si>
  <si>
    <t xml:space="preserve">Hazard, City of - sought funding for water treatment and sewage treatment projects, heavy equipment. </t>
  </si>
  <si>
    <t xml:space="preserve">Jackson, City of - strained fiscal liquidity, funding for mitigation projects and water loss. </t>
  </si>
  <si>
    <t xml:space="preserve">Johnson County - sought funding for road repairs. </t>
  </si>
  <si>
    <t xml:space="preserve">Knott County - sought funding for FEMA-ineligible debris removal; strained fiscal liquidity, equipment; EOC/911 replacement space. </t>
  </si>
  <si>
    <t xml:space="preserve">Knott County Water &amp; Sewer District - sought funding for waterline repairs, wastewater treatment plant. 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</si>
  <si>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</si>
  <si>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</si>
  <si>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</si>
  <si>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</si>
  <si>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</si>
  <si>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</si>
  <si>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Whitesburg, City of - sought funding for water meters. </t>
  </si>
  <si>
    <t>Transportation Cabinet-FEMA-ineligible county bridge repairs</t>
  </si>
  <si>
    <t xml:space="preserve">Perry County - sought funding for purchase of appliances, water and sewer projects, strained fiscal liquidity, ineligible debris removal. </t>
  </si>
  <si>
    <t>Strained fiscal liquidity, floodplain coordinator, local share of damage costs claimed with FEMA, matching funds for ARC water/sewer project, electric installation at high-ground site</t>
  </si>
  <si>
    <t xml:space="preserve">Bowling Green, City of - search and rescue </t>
  </si>
  <si>
    <t>Jenkins Independent School District</t>
  </si>
  <si>
    <t>HB 752-Administrative building</t>
  </si>
  <si>
    <t>House Bill 752-Electric and water systems; fire station #1, police station, city hall</t>
  </si>
  <si>
    <t>Rosedale Cemetery Repair Work</t>
  </si>
  <si>
    <t>HB 6-Military Affairs</t>
  </si>
  <si>
    <t>Actions through April 30, 2024</t>
  </si>
  <si>
    <t>Marshall County School District</t>
  </si>
  <si>
    <t>Water/Sewer/Road</t>
  </si>
  <si>
    <t>Actions through June 12, 2024</t>
  </si>
  <si>
    <t xml:space="preserve">Nursing services, COVID tests, food inspections, formula. Comprehensive recovery program focused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</si>
</sst>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4" sqref="B14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9.1406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35</v>
      </c>
    </row>
    <row r="2" spans="1:12" ht="15" x14ac:dyDescent="0.25">
      <c r="A2" s="43" t="s">
        <v>208</v>
      </c>
    </row>
    <row r="3" spans="1:12" ht="42.75" x14ac:dyDescent="0.2">
      <c r="A3" s="35" t="s">
        <v>62</v>
      </c>
      <c r="B3" s="58">
        <f>15000000+120890000+9000000+110000-10000000</f>
        <v>135000000</v>
      </c>
      <c r="C3" s="7" t="s">
        <v>176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91</v>
      </c>
      <c r="E4" s="5" t="s">
        <v>82</v>
      </c>
      <c r="F4" s="5" t="s">
        <v>113</v>
      </c>
      <c r="G4" s="5" t="s">
        <v>113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92</v>
      </c>
      <c r="E5" s="5" t="s">
        <v>83</v>
      </c>
      <c r="F5" s="5" t="s">
        <v>109</v>
      </c>
      <c r="G5" s="5" t="s">
        <v>109</v>
      </c>
      <c r="H5" s="5" t="s">
        <v>111</v>
      </c>
      <c r="I5" s="5" t="s">
        <v>114</v>
      </c>
      <c r="J5" s="5" t="s">
        <v>151</v>
      </c>
      <c r="K5" s="5"/>
    </row>
    <row r="6" spans="1:12" ht="15" x14ac:dyDescent="0.25">
      <c r="A6" s="3" t="s">
        <v>0</v>
      </c>
      <c r="B6" s="5" t="s">
        <v>55</v>
      </c>
      <c r="C6" s="38" t="s">
        <v>3</v>
      </c>
      <c r="D6" s="5" t="s">
        <v>93</v>
      </c>
      <c r="E6" s="5" t="s">
        <v>84</v>
      </c>
      <c r="F6" s="5" t="s">
        <v>110</v>
      </c>
      <c r="G6" s="5" t="s">
        <v>207</v>
      </c>
      <c r="H6" s="5" t="s">
        <v>112</v>
      </c>
      <c r="I6" s="5" t="s">
        <v>88</v>
      </c>
      <c r="J6" s="5" t="s">
        <v>152</v>
      </c>
      <c r="K6" s="5" t="s">
        <v>89</v>
      </c>
      <c r="L6" s="5" t="s">
        <v>90</v>
      </c>
    </row>
    <row r="7" spans="1:12" ht="16.5" x14ac:dyDescent="0.2">
      <c r="A7" s="33" t="s">
        <v>117</v>
      </c>
    </row>
    <row r="8" spans="1:12" x14ac:dyDescent="0.2">
      <c r="A8" s="1" t="s">
        <v>115</v>
      </c>
      <c r="B8" s="4">
        <v>9000000</v>
      </c>
      <c r="C8" s="8" t="s">
        <v>33</v>
      </c>
      <c r="K8" s="4">
        <v>9000000</v>
      </c>
      <c r="L8" s="4">
        <f t="shared" ref="L8:L46" si="0">B8-D8-E8-F8-G8-H8-I8-J8-K8</f>
        <v>0</v>
      </c>
    </row>
    <row r="9" spans="1:12" ht="28.5" x14ac:dyDescent="0.2">
      <c r="A9" s="1" t="s">
        <v>29</v>
      </c>
      <c r="B9" s="14">
        <v>110000</v>
      </c>
      <c r="C9" s="8" t="s">
        <v>118</v>
      </c>
      <c r="K9" s="4">
        <v>110000</v>
      </c>
      <c r="L9" s="4">
        <f t="shared" si="0"/>
        <v>0</v>
      </c>
    </row>
    <row r="10" spans="1:12" ht="15" x14ac:dyDescent="0.25">
      <c r="A10" s="2" t="s">
        <v>116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99</v>
      </c>
      <c r="B12" s="36">
        <f>15000000+120890000-10000000</f>
        <v>125890000</v>
      </c>
      <c r="C12" s="7" t="s">
        <v>161</v>
      </c>
      <c r="L12" s="4"/>
    </row>
    <row r="13" spans="1:12" ht="15" x14ac:dyDescent="0.25">
      <c r="A13" s="24" t="s">
        <v>140</v>
      </c>
      <c r="B13" s="36"/>
      <c r="L13" s="4"/>
    </row>
    <row r="14" spans="1:12" ht="28.5" x14ac:dyDescent="0.2">
      <c r="A14" s="9" t="s">
        <v>42</v>
      </c>
      <c r="B14" s="12">
        <v>10571394</v>
      </c>
      <c r="C14" s="8" t="s">
        <v>34</v>
      </c>
      <c r="D14" s="12"/>
      <c r="E14" s="12"/>
      <c r="F14" s="12"/>
      <c r="G14" s="12"/>
      <c r="H14" s="12">
        <v>10571394</v>
      </c>
      <c r="I14" s="12"/>
      <c r="J14" s="12"/>
      <c r="K14" s="12"/>
      <c r="L14" s="4">
        <f>B14-D14-E14-F14-G14-H14-I14-J14-K14</f>
        <v>0</v>
      </c>
    </row>
    <row r="15" spans="1:12" x14ac:dyDescent="0.2">
      <c r="A15" s="9" t="s">
        <v>51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52</v>
      </c>
      <c r="B16" s="12">
        <f>85508+970183+550000+1500000</f>
        <v>3105691</v>
      </c>
      <c r="C16" s="10" t="s">
        <v>175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133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53</v>
      </c>
      <c r="B21" s="12">
        <f>1321047+15133+886000+800000+2395300</f>
        <v>5417480</v>
      </c>
      <c r="C21" s="10" t="s">
        <v>23</v>
      </c>
      <c r="D21" s="12">
        <f>886000+800000</f>
        <v>1686000</v>
      </c>
      <c r="E21" s="12">
        <f>121047+15133</f>
        <v>136180</v>
      </c>
      <c r="F21" s="12"/>
      <c r="G21" s="12">
        <f>2395300</f>
        <v>2395300</v>
      </c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149</v>
      </c>
      <c r="B22" s="12">
        <v>80500</v>
      </c>
      <c r="C22" s="10" t="s">
        <v>150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336873+19882+567128</f>
        <v>923883</v>
      </c>
      <c r="C23" s="10" t="s">
        <v>174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8.5" x14ac:dyDescent="0.2">
      <c r="A24" s="9" t="s">
        <v>7</v>
      </c>
      <c r="B24" s="12">
        <f>3384285+2501700+158292</f>
        <v>6044277</v>
      </c>
      <c r="C24" s="10" t="s">
        <v>153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</f>
        <v>2659992</v>
      </c>
      <c r="L24" s="4">
        <f t="shared" si="0"/>
        <v>0</v>
      </c>
    </row>
    <row r="25" spans="1:12" x14ac:dyDescent="0.2">
      <c r="A25" s="15" t="s">
        <v>7</v>
      </c>
      <c r="B25" s="12">
        <v>6100000</v>
      </c>
      <c r="C25" s="51" t="s">
        <v>201</v>
      </c>
      <c r="D25" s="11"/>
      <c r="E25" s="11"/>
      <c r="F25" s="11"/>
      <c r="G25" s="11"/>
      <c r="H25" s="11"/>
      <c r="I25" s="11"/>
      <c r="J25" s="11"/>
      <c r="K25" s="12">
        <v>6100000</v>
      </c>
      <c r="L25" s="4"/>
    </row>
    <row r="26" spans="1:12" x14ac:dyDescent="0.2">
      <c r="A26" s="9" t="s">
        <v>8</v>
      </c>
      <c r="B26" s="11">
        <v>17281</v>
      </c>
      <c r="C26" s="10" t="s">
        <v>19</v>
      </c>
      <c r="D26" s="11"/>
      <c r="E26" s="11">
        <v>17281</v>
      </c>
      <c r="F26" s="11"/>
      <c r="G26" s="11"/>
      <c r="H26" s="11"/>
      <c r="I26" s="11"/>
      <c r="J26" s="11"/>
      <c r="K26" s="11"/>
      <c r="L26" s="4">
        <f t="shared" si="0"/>
        <v>0</v>
      </c>
    </row>
    <row r="27" spans="1:12" ht="57" x14ac:dyDescent="0.2">
      <c r="A27" s="9" t="s">
        <v>4</v>
      </c>
      <c r="B27" s="12">
        <f>9251941+175950</f>
        <v>9427891</v>
      </c>
      <c r="C27" s="10" t="s">
        <v>24</v>
      </c>
      <c r="D27" s="12">
        <f>4500000</f>
        <v>4500000</v>
      </c>
      <c r="E27" s="12">
        <f>807593</f>
        <v>807593</v>
      </c>
      <c r="F27" s="12">
        <f>3230000</f>
        <v>3230000</v>
      </c>
      <c r="G27" s="12"/>
      <c r="H27" s="12"/>
      <c r="I27" s="12"/>
      <c r="J27" s="12"/>
      <c r="K27" s="12">
        <f>58500+655848+175950</f>
        <v>890298</v>
      </c>
      <c r="L27" s="4">
        <f t="shared" si="0"/>
        <v>0</v>
      </c>
    </row>
    <row r="28" spans="1:12" ht="28.5" x14ac:dyDescent="0.2">
      <c r="A28" s="1" t="s">
        <v>13</v>
      </c>
      <c r="B28" s="11">
        <f>12212+6786000</f>
        <v>6798212</v>
      </c>
      <c r="C28" s="7" t="s">
        <v>209</v>
      </c>
      <c r="D28" s="11"/>
      <c r="E28" s="11"/>
      <c r="F28" s="11"/>
      <c r="G28" s="11"/>
      <c r="H28" s="11"/>
      <c r="I28" s="11"/>
      <c r="J28" s="11"/>
      <c r="K28" s="11">
        <f>12212+6786000</f>
        <v>6798212</v>
      </c>
      <c r="L28" s="4">
        <f t="shared" si="0"/>
        <v>0</v>
      </c>
    </row>
    <row r="29" spans="1:12" ht="42.75" x14ac:dyDescent="0.2">
      <c r="A29" s="9" t="s">
        <v>11</v>
      </c>
      <c r="B29" s="12">
        <f>158517.8+341654</f>
        <v>500171.8</v>
      </c>
      <c r="C29" s="10" t="s">
        <v>154</v>
      </c>
      <c r="D29" s="11">
        <v>36000</v>
      </c>
      <c r="E29" s="11">
        <v>122518</v>
      </c>
      <c r="F29" s="11"/>
      <c r="G29" s="11"/>
      <c r="H29" s="11"/>
      <c r="I29" s="11"/>
      <c r="J29" s="11"/>
      <c r="K29" s="11">
        <v>341654</v>
      </c>
      <c r="L29" s="4">
        <f t="shared" si="0"/>
        <v>-0.20000000001164153</v>
      </c>
    </row>
    <row r="30" spans="1:12" ht="42.75" x14ac:dyDescent="0.2">
      <c r="A30" s="9" t="s">
        <v>6</v>
      </c>
      <c r="B30" s="12">
        <f>655389+50000+155389+50000+85037+375322+(69945+27550)</f>
        <v>1468632</v>
      </c>
      <c r="C30" s="10" t="s">
        <v>78</v>
      </c>
      <c r="D30" s="12">
        <f>50000+50000</f>
        <v>100000</v>
      </c>
      <c r="E30" s="12">
        <f>155389+155389+85037</f>
        <v>395815</v>
      </c>
      <c r="F30" s="12">
        <f>300000+200000</f>
        <v>500000</v>
      </c>
      <c r="G30" s="12"/>
      <c r="H30" s="12"/>
      <c r="I30" s="12">
        <v>27550</v>
      </c>
      <c r="J30" s="12"/>
      <c r="K30" s="12">
        <f>375322+69945</f>
        <v>445267</v>
      </c>
      <c r="L30" s="4">
        <f t="shared" si="0"/>
        <v>0</v>
      </c>
    </row>
    <row r="31" spans="1:12" x14ac:dyDescent="0.2">
      <c r="A31" s="15" t="s">
        <v>30</v>
      </c>
      <c r="B31" s="12">
        <v>35000</v>
      </c>
      <c r="C31" s="10" t="s">
        <v>31</v>
      </c>
      <c r="D31" s="12"/>
      <c r="E31" s="12"/>
      <c r="F31" s="12"/>
      <c r="G31" s="12"/>
      <c r="H31" s="12"/>
      <c r="I31" s="12"/>
      <c r="J31" s="12"/>
      <c r="K31" s="12">
        <v>35000</v>
      </c>
      <c r="L31" s="4">
        <f t="shared" si="0"/>
        <v>0</v>
      </c>
    </row>
    <row r="32" spans="1:12" x14ac:dyDescent="0.2">
      <c r="A32" s="15" t="s">
        <v>206</v>
      </c>
      <c r="B32" s="12">
        <v>121157</v>
      </c>
      <c r="C32" s="10"/>
      <c r="D32" s="12"/>
      <c r="E32" s="12"/>
      <c r="F32" s="12"/>
      <c r="G32" s="12"/>
      <c r="H32" s="12"/>
      <c r="I32" s="12"/>
      <c r="J32" s="12">
        <v>121157</v>
      </c>
      <c r="K32" s="12"/>
      <c r="L32" s="4"/>
    </row>
    <row r="33" spans="1:12" ht="28.5" x14ac:dyDescent="0.2">
      <c r="A33" s="9" t="s">
        <v>50</v>
      </c>
      <c r="B33" s="12">
        <f>2880361+1200000+228119</f>
        <v>4308480</v>
      </c>
      <c r="C33" s="10" t="s">
        <v>22</v>
      </c>
      <c r="D33" s="12"/>
      <c r="E33" s="12">
        <f>2880361</f>
        <v>2880361</v>
      </c>
      <c r="F33" s="12">
        <f>1200000</f>
        <v>1200000</v>
      </c>
      <c r="G33" s="12"/>
      <c r="H33" s="12"/>
      <c r="I33" s="12"/>
      <c r="J33" s="12">
        <v>228119</v>
      </c>
      <c r="K33" s="12"/>
      <c r="L33" s="4">
        <f t="shared" si="0"/>
        <v>0</v>
      </c>
    </row>
    <row r="34" spans="1:12" ht="28.5" x14ac:dyDescent="0.2">
      <c r="A34" s="15" t="s">
        <v>50</v>
      </c>
      <c r="B34" s="12">
        <v>48231000</v>
      </c>
      <c r="C34" s="51" t="s">
        <v>202</v>
      </c>
      <c r="D34" s="12"/>
      <c r="E34" s="12"/>
      <c r="F34" s="12"/>
      <c r="G34" s="12"/>
      <c r="H34" s="12"/>
      <c r="I34" s="12"/>
      <c r="J34" s="12"/>
      <c r="K34" s="12">
        <v>48231000</v>
      </c>
      <c r="L34" s="4"/>
    </row>
    <row r="35" spans="1:12" ht="28.5" x14ac:dyDescent="0.2">
      <c r="A35" s="10" t="s">
        <v>14</v>
      </c>
      <c r="B35" s="12">
        <f>17091180+314018+49987</f>
        <v>17455185</v>
      </c>
      <c r="C35" s="10" t="s">
        <v>21</v>
      </c>
      <c r="D35" s="12">
        <f>15000000+314018</f>
        <v>15314018</v>
      </c>
      <c r="E35" s="12">
        <v>2091180</v>
      </c>
      <c r="F35" s="12">
        <v>49987</v>
      </c>
      <c r="G35" s="12"/>
      <c r="H35" s="12"/>
      <c r="I35" s="12"/>
      <c r="J35" s="12"/>
      <c r="K35" s="12"/>
      <c r="L35" s="4">
        <f t="shared" si="0"/>
        <v>0</v>
      </c>
    </row>
    <row r="36" spans="1:12" x14ac:dyDescent="0.2">
      <c r="A36" s="1" t="s">
        <v>155</v>
      </c>
      <c r="B36" s="12">
        <f>373683+57205</f>
        <v>430888</v>
      </c>
      <c r="C36" s="10" t="s">
        <v>150</v>
      </c>
      <c r="D36" s="12"/>
      <c r="E36" s="12"/>
      <c r="F36" s="12"/>
      <c r="G36" s="12"/>
      <c r="H36" s="12"/>
      <c r="I36" s="12"/>
      <c r="J36" s="12">
        <f>373683+57205</f>
        <v>430888</v>
      </c>
      <c r="K36" s="12"/>
      <c r="L36" s="4"/>
    </row>
    <row r="37" spans="1:12" ht="42.75" x14ac:dyDescent="0.2">
      <c r="A37" s="10" t="s">
        <v>15</v>
      </c>
      <c r="B37" s="12">
        <v>1171147</v>
      </c>
      <c r="C37" s="10" t="s">
        <v>48</v>
      </c>
      <c r="D37" s="12">
        <v>61208</v>
      </c>
      <c r="E37" s="12">
        <f>145192</f>
        <v>145192</v>
      </c>
      <c r="F37" s="12">
        <f>114747+450000</f>
        <v>564747</v>
      </c>
      <c r="G37" s="12"/>
      <c r="H37" s="12"/>
      <c r="I37" s="12"/>
      <c r="J37" s="12"/>
      <c r="K37" s="12">
        <f>300000+100000</f>
        <v>400000</v>
      </c>
      <c r="L37" s="4">
        <f t="shared" si="0"/>
        <v>0</v>
      </c>
    </row>
    <row r="38" spans="1:12" ht="28.5" x14ac:dyDescent="0.2">
      <c r="A38" s="9" t="s">
        <v>27</v>
      </c>
      <c r="B38" s="12">
        <v>400000</v>
      </c>
      <c r="C38" s="10" t="s">
        <v>32</v>
      </c>
      <c r="D38" s="12"/>
      <c r="E38" s="12"/>
      <c r="F38" s="12"/>
      <c r="G38" s="12">
        <v>400000</v>
      </c>
      <c r="H38" s="12"/>
      <c r="I38" s="12"/>
      <c r="J38" s="12"/>
      <c r="K38" s="12"/>
      <c r="L38" s="4">
        <f t="shared" si="0"/>
        <v>0</v>
      </c>
    </row>
    <row r="39" spans="1:12" ht="15" customHeight="1" x14ac:dyDescent="0.2">
      <c r="A39" s="1" t="s">
        <v>16</v>
      </c>
      <c r="B39" s="11">
        <v>4004</v>
      </c>
      <c r="C39" s="10" t="s">
        <v>19</v>
      </c>
      <c r="D39" s="11"/>
      <c r="E39" s="11">
        <v>4004</v>
      </c>
      <c r="F39" s="11"/>
      <c r="G39" s="11"/>
      <c r="H39" s="11"/>
      <c r="I39" s="11"/>
      <c r="J39" s="11"/>
      <c r="K39" s="11"/>
      <c r="L39" s="4">
        <f t="shared" si="0"/>
        <v>0</v>
      </c>
    </row>
    <row r="40" spans="1:12" ht="15" customHeight="1" x14ac:dyDescent="0.2">
      <c r="A40" s="1" t="s">
        <v>49</v>
      </c>
      <c r="B40" s="11">
        <f>134680+571440</f>
        <v>706120</v>
      </c>
      <c r="C40" s="10" t="s">
        <v>19</v>
      </c>
      <c r="D40" s="11"/>
      <c r="E40" s="11">
        <f>134680-89969</f>
        <v>44711</v>
      </c>
      <c r="F40" s="11">
        <f>89969+571440</f>
        <v>661409</v>
      </c>
      <c r="G40" s="11"/>
      <c r="H40" s="11"/>
      <c r="I40" s="11"/>
      <c r="J40" s="11"/>
      <c r="K40" s="11"/>
      <c r="L40" s="4">
        <f t="shared" si="0"/>
        <v>0</v>
      </c>
    </row>
    <row r="41" spans="1:12" ht="28.5" x14ac:dyDescent="0.2">
      <c r="A41" s="9" t="s">
        <v>28</v>
      </c>
      <c r="B41" s="12">
        <v>110000</v>
      </c>
      <c r="C41" s="10" t="s">
        <v>21</v>
      </c>
      <c r="D41" s="12">
        <v>35000</v>
      </c>
      <c r="E41" s="12">
        <v>75000</v>
      </c>
      <c r="F41" s="12"/>
      <c r="G41" s="12"/>
      <c r="H41" s="12"/>
      <c r="I41" s="12"/>
      <c r="J41" s="12"/>
      <c r="K41" s="12"/>
      <c r="L41" s="4">
        <f t="shared" si="0"/>
        <v>0</v>
      </c>
    </row>
    <row r="42" spans="1:12" ht="42.75" x14ac:dyDescent="0.2">
      <c r="A42" s="9" t="s">
        <v>41</v>
      </c>
      <c r="B42" s="12">
        <f>24440+65000</f>
        <v>89440</v>
      </c>
      <c r="C42" s="10" t="s">
        <v>60</v>
      </c>
      <c r="D42" s="12"/>
      <c r="E42" s="12">
        <f>24440</f>
        <v>24440</v>
      </c>
      <c r="F42" s="12"/>
      <c r="G42" s="12">
        <v>65000</v>
      </c>
      <c r="H42" s="12"/>
      <c r="I42" s="12"/>
      <c r="J42" s="12"/>
      <c r="K42" s="12"/>
      <c r="L42" s="4">
        <f t="shared" si="0"/>
        <v>0</v>
      </c>
    </row>
    <row r="43" spans="1:12" x14ac:dyDescent="0.2">
      <c r="A43" s="15" t="s">
        <v>203</v>
      </c>
      <c r="B43" s="12">
        <v>20600</v>
      </c>
      <c r="C43" s="51" t="s">
        <v>204</v>
      </c>
      <c r="D43" s="12"/>
      <c r="E43" s="12"/>
      <c r="F43" s="12"/>
      <c r="G43" s="12"/>
      <c r="H43" s="12"/>
      <c r="I43" s="12"/>
      <c r="J43" s="12"/>
      <c r="K43" s="12">
        <v>20600</v>
      </c>
      <c r="L43" s="4"/>
    </row>
    <row r="44" spans="1:12" ht="28.5" x14ac:dyDescent="0.2">
      <c r="A44" s="9" t="s">
        <v>25</v>
      </c>
      <c r="B44" s="12">
        <v>89767</v>
      </c>
      <c r="C44" s="10" t="s">
        <v>26</v>
      </c>
      <c r="D44" s="12"/>
      <c r="E44" s="12"/>
      <c r="F44" s="12"/>
      <c r="G44" s="12"/>
      <c r="H44" s="12"/>
      <c r="I44" s="12"/>
      <c r="J44" s="12"/>
      <c r="K44" s="12">
        <v>89767</v>
      </c>
      <c r="L44" s="4">
        <f t="shared" si="0"/>
        <v>0</v>
      </c>
    </row>
    <row r="45" spans="1:12" ht="28.5" x14ac:dyDescent="0.2">
      <c r="A45" s="9" t="s">
        <v>17</v>
      </c>
      <c r="B45" s="12">
        <f>5200+134437+10230+59721</f>
        <v>209588</v>
      </c>
      <c r="C45" s="10" t="s">
        <v>22</v>
      </c>
      <c r="D45" s="12"/>
      <c r="E45" s="12">
        <f>5200</f>
        <v>5200</v>
      </c>
      <c r="F45" s="12">
        <f>134437+10230+59721</f>
        <v>204388</v>
      </c>
      <c r="G45" s="12"/>
      <c r="H45" s="12"/>
      <c r="I45" s="12"/>
      <c r="J45" s="12"/>
      <c r="K45" s="12"/>
      <c r="L45" s="4">
        <f t="shared" si="0"/>
        <v>0</v>
      </c>
    </row>
    <row r="46" spans="1:12" x14ac:dyDescent="0.2">
      <c r="A46" s="1" t="s">
        <v>18</v>
      </c>
      <c r="B46" s="27">
        <f>338910-124607</f>
        <v>214303</v>
      </c>
      <c r="C46" s="10" t="s">
        <v>19</v>
      </c>
      <c r="D46" s="27"/>
      <c r="E46" s="27">
        <f>338910-124607</f>
        <v>214303</v>
      </c>
      <c r="F46" s="27"/>
      <c r="G46" s="27"/>
      <c r="H46" s="27"/>
      <c r="I46" s="27"/>
      <c r="J46" s="27"/>
      <c r="K46" s="27"/>
      <c r="L46" s="4">
        <f t="shared" si="0"/>
        <v>0</v>
      </c>
    </row>
    <row r="47" spans="1:12" ht="15" x14ac:dyDescent="0.25">
      <c r="A47" s="2" t="s">
        <v>99</v>
      </c>
      <c r="B47" s="30">
        <f>SUM(B14:B46)</f>
        <v>125023261.8</v>
      </c>
      <c r="D47" s="30">
        <f t="shared" ref="D47:K47" si="1">SUM(D14:D46)</f>
        <v>22289537</v>
      </c>
      <c r="E47" s="30">
        <f t="shared" si="1"/>
        <v>10684303</v>
      </c>
      <c r="F47" s="30">
        <f t="shared" si="1"/>
        <v>6835531</v>
      </c>
      <c r="G47" s="30">
        <f t="shared" si="1"/>
        <v>2860300</v>
      </c>
      <c r="H47" s="30">
        <f t="shared" si="1"/>
        <v>10571394</v>
      </c>
      <c r="I47" s="30">
        <f t="shared" si="1"/>
        <v>1227550</v>
      </c>
      <c r="J47" s="30">
        <f t="shared" si="1"/>
        <v>860664</v>
      </c>
      <c r="K47" s="30">
        <f t="shared" si="1"/>
        <v>69693983</v>
      </c>
      <c r="L47" s="4" t="e">
        <f>B47-#REF!-#REF!-#REF!-#REF!-#REF!-#REF!-#REF!-#REF!</f>
        <v>#REF!</v>
      </c>
    </row>
    <row r="48" spans="1:12" ht="15" x14ac:dyDescent="0.25">
      <c r="A48" s="26" t="s">
        <v>63</v>
      </c>
      <c r="B48" s="13">
        <f>B12-B47</f>
        <v>866738.20000000298</v>
      </c>
      <c r="L48" s="4">
        <f>B48-D47-E47-F47-G47-H47-I47-J47-K47</f>
        <v>-124156523.8</v>
      </c>
    </row>
    <row r="49" spans="1:11" s="16" customFormat="1" x14ac:dyDescent="0.2">
      <c r="A49" s="24"/>
      <c r="B49" s="25"/>
      <c r="C49" s="18"/>
      <c r="D49" s="25"/>
      <c r="E49" s="25"/>
      <c r="F49" s="25"/>
      <c r="G49" s="25"/>
      <c r="H49" s="25"/>
      <c r="I49" s="25"/>
      <c r="J49" s="25"/>
      <c r="K49" s="25"/>
    </row>
    <row r="50" spans="1:11" s="16" customFormat="1" ht="15" x14ac:dyDescent="0.25">
      <c r="A50" s="21"/>
      <c r="B50" s="17"/>
      <c r="C50" s="20"/>
      <c r="D50" s="17"/>
      <c r="E50" s="17"/>
      <c r="F50" s="17"/>
      <c r="G50" s="17"/>
      <c r="H50" s="17"/>
      <c r="I50" s="17"/>
      <c r="J50" s="17"/>
      <c r="K50" s="17"/>
    </row>
    <row r="51" spans="1:11" s="16" customFormat="1" x14ac:dyDescent="0.2">
      <c r="B51" s="17"/>
      <c r="C51" s="20"/>
      <c r="D51" s="17"/>
      <c r="E51" s="17"/>
      <c r="F51" s="17"/>
      <c r="G51" s="17"/>
      <c r="H51" s="17"/>
      <c r="I51" s="17"/>
      <c r="J51" s="17"/>
      <c r="K51" s="17"/>
    </row>
    <row r="52" spans="1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1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  <row r="54" spans="1:11" s="16" customFormat="1" x14ac:dyDescent="0.2">
      <c r="B54" s="17"/>
      <c r="C54" s="18"/>
      <c r="D54" s="17"/>
      <c r="E54" s="17"/>
      <c r="F54" s="17"/>
      <c r="G54" s="17"/>
      <c r="H54" s="17"/>
      <c r="I54" s="17"/>
      <c r="J54" s="17"/>
      <c r="K54" s="17"/>
    </row>
    <row r="55" spans="1:11" s="16" customFormat="1" ht="15" x14ac:dyDescent="0.25">
      <c r="B55" s="19"/>
      <c r="C55" s="18"/>
      <c r="D55" s="19"/>
      <c r="E55" s="19"/>
      <c r="F55" s="19"/>
      <c r="G55" s="19"/>
      <c r="H55" s="19"/>
      <c r="I55" s="19"/>
      <c r="J55" s="19"/>
      <c r="K55" s="19"/>
    </row>
    <row r="56" spans="1:11" s="16" customFormat="1" x14ac:dyDescent="0.2">
      <c r="B56" s="17"/>
      <c r="C56" s="18"/>
      <c r="D56" s="17"/>
      <c r="E56" s="17"/>
      <c r="F56" s="17"/>
      <c r="G56" s="17"/>
      <c r="H56" s="17"/>
      <c r="I56" s="17"/>
      <c r="J56" s="17"/>
      <c r="K56" s="17"/>
    </row>
    <row r="57" spans="1:11" s="16" customFormat="1" x14ac:dyDescent="0.2">
      <c r="B57" s="17"/>
      <c r="C57" s="18"/>
      <c r="D57" s="17"/>
      <c r="E57" s="17"/>
      <c r="F57" s="17"/>
      <c r="G57" s="17"/>
      <c r="H57" s="17"/>
      <c r="I57" s="17"/>
      <c r="J57" s="17"/>
      <c r="K57" s="17"/>
    </row>
  </sheetData>
  <sortState xmlns:xlrd2="http://schemas.microsoft.com/office/spreadsheetml/2017/richdata2" ref="A17:C46">
    <sortCondition ref="A17:A46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9"/>
  <sheetViews>
    <sheetView topLeftCell="A49" zoomScale="90" zoomScaleNormal="90" workbookViewId="0">
      <selection activeCell="C77" sqref="C77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46</v>
      </c>
    </row>
    <row r="2" spans="1:8" x14ac:dyDescent="0.25">
      <c r="A2" s="43" t="s">
        <v>205</v>
      </c>
    </row>
    <row r="3" spans="1:8" x14ac:dyDescent="0.25">
      <c r="A3" s="43" t="s">
        <v>62</v>
      </c>
      <c r="B3" s="37" t="s">
        <v>1</v>
      </c>
      <c r="C3" s="44" t="s">
        <v>106</v>
      </c>
      <c r="D3" s="11"/>
      <c r="E3" s="11"/>
      <c r="F3" s="11"/>
      <c r="G3" s="11"/>
      <c r="H3" s="11"/>
    </row>
    <row r="4" spans="1:8" x14ac:dyDescent="0.25">
      <c r="A4" s="43" t="s">
        <v>167</v>
      </c>
      <c r="B4" s="11">
        <f>75000000-10000000</f>
        <v>65000000</v>
      </c>
      <c r="C4" s="23" t="s">
        <v>99</v>
      </c>
      <c r="D4" s="11"/>
      <c r="E4" s="11"/>
      <c r="F4" s="11"/>
      <c r="G4" s="11"/>
      <c r="H4" s="11"/>
    </row>
    <row r="5" spans="1:8" ht="29.25" x14ac:dyDescent="0.25">
      <c r="A5" s="45" t="s">
        <v>101</v>
      </c>
      <c r="B5" s="12">
        <v>45000000</v>
      </c>
      <c r="C5" s="23" t="s">
        <v>104</v>
      </c>
      <c r="D5" s="11"/>
      <c r="E5" s="11"/>
      <c r="F5" s="11"/>
      <c r="G5" s="11"/>
      <c r="H5" s="11"/>
    </row>
    <row r="6" spans="1:8" ht="43.5" x14ac:dyDescent="0.25">
      <c r="A6" s="45" t="s">
        <v>100</v>
      </c>
      <c r="B6" s="12">
        <v>40000000</v>
      </c>
      <c r="C6" s="23" t="s">
        <v>103</v>
      </c>
      <c r="D6" s="11"/>
      <c r="E6" s="11"/>
      <c r="F6" s="11"/>
      <c r="G6" s="11"/>
      <c r="H6" s="11"/>
    </row>
    <row r="7" spans="1:8" x14ac:dyDescent="0.25">
      <c r="A7" s="45" t="s">
        <v>172</v>
      </c>
      <c r="B7" s="12">
        <v>40000000</v>
      </c>
      <c r="C7" s="23" t="s">
        <v>173</v>
      </c>
      <c r="D7" s="11"/>
      <c r="E7" s="11"/>
      <c r="F7" s="11"/>
      <c r="G7" s="11"/>
      <c r="H7" s="11"/>
    </row>
    <row r="8" spans="1:8" ht="43.5" x14ac:dyDescent="0.25">
      <c r="A8" s="45" t="s">
        <v>102</v>
      </c>
      <c r="B8" s="22">
        <v>12662200</v>
      </c>
      <c r="C8" s="23" t="s">
        <v>105</v>
      </c>
      <c r="D8" s="11"/>
      <c r="E8" s="11"/>
      <c r="F8" s="11"/>
      <c r="G8" s="11"/>
      <c r="H8" s="11"/>
    </row>
    <row r="9" spans="1:8" x14ac:dyDescent="0.25">
      <c r="A9" s="43" t="s">
        <v>142</v>
      </c>
      <c r="B9" s="28">
        <v>10000000</v>
      </c>
      <c r="C9" s="23" t="s">
        <v>134</v>
      </c>
      <c r="D9" s="11"/>
      <c r="E9" s="11"/>
      <c r="F9" s="11"/>
      <c r="G9" s="11"/>
      <c r="H9" s="11"/>
    </row>
    <row r="10" spans="1:8" x14ac:dyDescent="0.25">
      <c r="A10" s="43" t="s">
        <v>119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91</v>
      </c>
      <c r="E11" s="46" t="s">
        <v>82</v>
      </c>
    </row>
    <row r="12" spans="1:8" ht="18" x14ac:dyDescent="0.25">
      <c r="A12" s="41" t="s">
        <v>46</v>
      </c>
      <c r="B12" s="46" t="s">
        <v>1</v>
      </c>
      <c r="C12" s="44" t="s">
        <v>2</v>
      </c>
      <c r="D12" s="46" t="s">
        <v>92</v>
      </c>
      <c r="E12" s="46" t="s">
        <v>83</v>
      </c>
      <c r="F12" s="46" t="s">
        <v>87</v>
      </c>
      <c r="G12" s="46"/>
      <c r="H12" s="46" t="s">
        <v>85</v>
      </c>
    </row>
    <row r="13" spans="1:8" x14ac:dyDescent="0.25">
      <c r="A13" s="47" t="s">
        <v>0</v>
      </c>
      <c r="B13" s="37" t="s">
        <v>55</v>
      </c>
      <c r="C13" s="44" t="s">
        <v>3</v>
      </c>
      <c r="D13" s="37" t="s">
        <v>93</v>
      </c>
      <c r="E13" s="37" t="s">
        <v>84</v>
      </c>
      <c r="F13" s="37" t="s">
        <v>88</v>
      </c>
      <c r="G13" s="37" t="s">
        <v>89</v>
      </c>
      <c r="H13" s="37" t="s">
        <v>86</v>
      </c>
    </row>
    <row r="14" spans="1:8" ht="16.5" x14ac:dyDescent="0.25">
      <c r="A14" s="48" t="s">
        <v>99</v>
      </c>
    </row>
    <row r="15" spans="1:8" x14ac:dyDescent="0.25">
      <c r="A15" s="43" t="s">
        <v>139</v>
      </c>
      <c r="B15" s="34">
        <f>75000000-10000000</f>
        <v>65000000</v>
      </c>
      <c r="C15" s="8"/>
    </row>
    <row r="16" spans="1:8" x14ac:dyDescent="0.25">
      <c r="A16" s="49" t="s">
        <v>156</v>
      </c>
      <c r="B16" s="25">
        <f>300000+75000</f>
        <v>375000</v>
      </c>
      <c r="C16" s="8" t="s">
        <v>157</v>
      </c>
      <c r="D16" s="25">
        <v>300000</v>
      </c>
      <c r="F16" s="25">
        <v>75000</v>
      </c>
    </row>
    <row r="17" spans="1:8" ht="28.5" x14ac:dyDescent="0.25">
      <c r="A17" s="50" t="s">
        <v>120</v>
      </c>
      <c r="B17" s="22">
        <f>5720+100000+52780</f>
        <v>158500</v>
      </c>
      <c r="C17" s="40" t="s">
        <v>47</v>
      </c>
      <c r="D17" s="22">
        <v>100000</v>
      </c>
      <c r="E17" s="22">
        <f>5720+52780</f>
        <v>58500</v>
      </c>
    </row>
    <row r="18" spans="1:8" x14ac:dyDescent="0.25">
      <c r="A18" s="49" t="s">
        <v>127</v>
      </c>
      <c r="B18" s="25">
        <f>3000000+3000000</f>
        <v>6000000</v>
      </c>
      <c r="C18" s="23" t="s">
        <v>39</v>
      </c>
      <c r="D18" s="25">
        <f>3000000+3000000</f>
        <v>6000000</v>
      </c>
    </row>
    <row r="19" spans="1:8" x14ac:dyDescent="0.25">
      <c r="A19" s="50" t="s">
        <v>158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76</v>
      </c>
      <c r="B20" s="22">
        <f>150020+370000</f>
        <v>520020</v>
      </c>
      <c r="C20" s="23" t="s">
        <v>143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129</v>
      </c>
      <c r="B21" s="22">
        <f>300000+371314+500000</f>
        <v>1171314</v>
      </c>
      <c r="C21" s="23" t="s">
        <v>47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42</v>
      </c>
      <c r="B22" s="22">
        <f>794989</f>
        <v>794989</v>
      </c>
      <c r="C22" s="40" t="s">
        <v>130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68</v>
      </c>
      <c r="B23" s="22">
        <f>298100+330000+60000+1000000+140000+2371239</f>
        <v>4199339</v>
      </c>
      <c r="C23" s="23" t="s">
        <v>160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72</v>
      </c>
      <c r="B24" s="22">
        <f>301156+80000+33518+350000</f>
        <v>764674</v>
      </c>
      <c r="C24" s="23" t="s">
        <v>73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61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54</v>
      </c>
      <c r="B26" s="22">
        <f>2500000+1750000+897000</f>
        <v>5147000</v>
      </c>
      <c r="C26" s="40" t="s">
        <v>47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65</v>
      </c>
      <c r="B27" s="22">
        <f>100000+41288+80000+250000</f>
        <v>471288</v>
      </c>
      <c r="C27" s="23" t="s">
        <v>144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165</v>
      </c>
      <c r="B28" s="22">
        <f>6776+75000</f>
        <v>81776</v>
      </c>
      <c r="C28" s="51" t="s">
        <v>166</v>
      </c>
      <c r="E28" s="25">
        <v>6776</v>
      </c>
      <c r="F28" s="25">
        <v>75000</v>
      </c>
    </row>
    <row r="29" spans="1:8" ht="28.5" x14ac:dyDescent="0.25">
      <c r="A29" s="50" t="s">
        <v>77</v>
      </c>
      <c r="B29" s="22">
        <f>250000+85400+200000+89466</f>
        <v>624866</v>
      </c>
      <c r="C29" s="40" t="s">
        <v>159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81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64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66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40</v>
      </c>
      <c r="B33" s="22">
        <f>531000+220000+686203+1159305+3581491+2000000</f>
        <v>8177999</v>
      </c>
      <c r="C33" s="23" t="s">
        <v>59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36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163</v>
      </c>
      <c r="B35" s="22">
        <f>868817+75000</f>
        <v>943817</v>
      </c>
      <c r="C35" s="23" t="s">
        <v>39</v>
      </c>
      <c r="D35" s="22">
        <v>868817</v>
      </c>
      <c r="E35" s="22"/>
      <c r="F35" s="22">
        <v>75000</v>
      </c>
      <c r="G35" s="22"/>
      <c r="H35" s="22"/>
    </row>
    <row r="36" spans="1:8" ht="57" x14ac:dyDescent="0.25">
      <c r="A36" s="50" t="s">
        <v>37</v>
      </c>
      <c r="B36" s="22">
        <f>(531000+400000)+220000+1171294+1567422+72308+89020+7418+75000+34000+249243+60000</f>
        <v>4476705</v>
      </c>
      <c r="C36" s="40" t="s">
        <v>198</v>
      </c>
      <c r="D36" s="22">
        <f>531000+400000</f>
        <v>931000</v>
      </c>
      <c r="E36" s="22">
        <f>1171294+1567422+72308+89020+7418</f>
        <v>2907462</v>
      </c>
      <c r="F36" s="22">
        <v>220000</v>
      </c>
      <c r="G36" s="22">
        <v>75000</v>
      </c>
      <c r="H36" s="22">
        <f>34000+249243+60000</f>
        <v>343243</v>
      </c>
    </row>
    <row r="37" spans="1:8" ht="29.25" x14ac:dyDescent="0.25">
      <c r="A37" s="50" t="s">
        <v>38</v>
      </c>
      <c r="B37" s="22">
        <f>31531+391756</f>
        <v>423287</v>
      </c>
      <c r="C37" s="23" t="s">
        <v>146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67</v>
      </c>
      <c r="B38" s="22">
        <f>1500000+1000000</f>
        <v>2500000</v>
      </c>
      <c r="C38" s="23" t="s">
        <v>39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74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132</v>
      </c>
      <c r="B40" s="22">
        <f>400000+46743</f>
        <v>446743</v>
      </c>
      <c r="C40" s="23" t="s">
        <v>47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56</v>
      </c>
      <c r="B41" s="22">
        <v>31000</v>
      </c>
      <c r="C41" s="23" t="s">
        <v>47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43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44</v>
      </c>
      <c r="B43" s="25">
        <f>3000000+3000000+702584+2860699+5000000</f>
        <v>14563283</v>
      </c>
      <c r="C43" s="23" t="s">
        <v>121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45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141</v>
      </c>
      <c r="B45" s="25">
        <f>250000+400000+890000</f>
        <v>1540000</v>
      </c>
      <c r="C45" s="52" t="s">
        <v>171</v>
      </c>
      <c r="H45" s="25">
        <f>B45</f>
        <v>1540000</v>
      </c>
    </row>
    <row r="46" spans="1:8" ht="85.5" x14ac:dyDescent="0.25">
      <c r="A46" s="50" t="s">
        <v>69</v>
      </c>
      <c r="B46" s="22">
        <f>1482000+6087237+950000+(650000-650000)</f>
        <v>8519237</v>
      </c>
      <c r="C46" s="51" t="s">
        <v>145</v>
      </c>
      <c r="D46" s="22"/>
      <c r="E46" s="22">
        <v>6087237</v>
      </c>
      <c r="F46" s="22"/>
      <c r="G46" s="22"/>
      <c r="H46" s="22">
        <f>1482000+950000+(650000-650000)</f>
        <v>2432000</v>
      </c>
    </row>
    <row r="47" spans="1:8" ht="28.5" x14ac:dyDescent="0.25">
      <c r="A47" s="50" t="s">
        <v>70</v>
      </c>
      <c r="B47" s="28">
        <f>89570+50000+20000</f>
        <v>159570</v>
      </c>
      <c r="C47" s="51" t="s">
        <v>71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95</v>
      </c>
      <c r="B48" s="53">
        <f>SUM(B16:B47)</f>
        <v>64945704</v>
      </c>
      <c r="D48" s="36">
        <f>SUM(D16:D47)</f>
        <v>30989335</v>
      </c>
      <c r="E48" s="36">
        <f>SUM(E16:E47)</f>
        <v>22457263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25">
      <c r="A49" s="43" t="s">
        <v>94</v>
      </c>
      <c r="B49" s="29">
        <f>B15-B48</f>
        <v>54296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135</v>
      </c>
      <c r="B51" s="29"/>
      <c r="C51" s="40"/>
      <c r="H51" s="42"/>
    </row>
    <row r="52" spans="1:8" x14ac:dyDescent="0.25">
      <c r="A52" s="45" t="s">
        <v>138</v>
      </c>
      <c r="B52" s="29">
        <v>40000000</v>
      </c>
      <c r="C52" s="40"/>
    </row>
    <row r="53" spans="1:8" x14ac:dyDescent="0.25">
      <c r="A53" s="49" t="s">
        <v>128</v>
      </c>
      <c r="B53" s="25">
        <v>1834900</v>
      </c>
      <c r="C53" s="23" t="s">
        <v>39</v>
      </c>
      <c r="D53" s="25">
        <v>1834900</v>
      </c>
    </row>
    <row r="54" spans="1:8" x14ac:dyDescent="0.25">
      <c r="A54" s="50" t="s">
        <v>158</v>
      </c>
      <c r="B54" s="25">
        <v>235000</v>
      </c>
      <c r="C54" s="23" t="s">
        <v>39</v>
      </c>
      <c r="D54" s="25">
        <v>235000</v>
      </c>
    </row>
    <row r="55" spans="1:8" x14ac:dyDescent="0.25">
      <c r="A55" s="50" t="s">
        <v>162</v>
      </c>
      <c r="B55" s="25">
        <v>200000</v>
      </c>
      <c r="C55" s="23" t="s">
        <v>39</v>
      </c>
      <c r="D55" s="25">
        <v>200000</v>
      </c>
    </row>
    <row r="56" spans="1:8" x14ac:dyDescent="0.25">
      <c r="A56" s="50" t="s">
        <v>200</v>
      </c>
      <c r="B56" s="25">
        <v>1283542</v>
      </c>
      <c r="C56" s="23" t="s">
        <v>39</v>
      </c>
      <c r="D56" s="25">
        <v>1283542</v>
      </c>
    </row>
    <row r="57" spans="1:8" x14ac:dyDescent="0.25">
      <c r="A57" s="49" t="s">
        <v>57</v>
      </c>
      <c r="B57" s="25">
        <f>3200000+3052337+2871878+3006216</f>
        <v>12130431</v>
      </c>
      <c r="C57" s="23" t="s">
        <v>39</v>
      </c>
      <c r="D57" s="25">
        <f>3200000+3052337+2871878+3006216</f>
        <v>12130431</v>
      </c>
    </row>
    <row r="58" spans="1:8" x14ac:dyDescent="0.25">
      <c r="A58" s="50" t="s">
        <v>36</v>
      </c>
      <c r="B58" s="25">
        <v>82006</v>
      </c>
      <c r="C58" s="23" t="s">
        <v>39</v>
      </c>
      <c r="D58" s="25">
        <v>82006</v>
      </c>
    </row>
    <row r="59" spans="1:8" x14ac:dyDescent="0.25">
      <c r="A59" s="49" t="s">
        <v>58</v>
      </c>
      <c r="B59" s="22">
        <f>6211811+3955683</f>
        <v>10167494</v>
      </c>
      <c r="C59" s="23" t="s">
        <v>39</v>
      </c>
      <c r="D59" s="22">
        <f>6211811+3955683</f>
        <v>10167494</v>
      </c>
      <c r="E59" s="22"/>
      <c r="F59" s="22"/>
      <c r="G59" s="22"/>
      <c r="H59" s="22"/>
    </row>
    <row r="60" spans="1:8" x14ac:dyDescent="0.25">
      <c r="A60" s="50" t="s">
        <v>75</v>
      </c>
      <c r="B60" s="22">
        <v>300000</v>
      </c>
      <c r="C60" s="23" t="s">
        <v>39</v>
      </c>
      <c r="D60" s="22">
        <v>300000</v>
      </c>
    </row>
    <row r="61" spans="1:8" x14ac:dyDescent="0.25">
      <c r="A61" s="50"/>
      <c r="B61" s="28"/>
      <c r="D61" s="28"/>
    </row>
    <row r="62" spans="1:8" x14ac:dyDescent="0.25">
      <c r="A62" s="45" t="s">
        <v>136</v>
      </c>
      <c r="B62" s="57">
        <f>SUM(B53:B60)</f>
        <v>26233373</v>
      </c>
      <c r="D62" s="29">
        <f>SUM(D53:D60)</f>
        <v>26233373</v>
      </c>
    </row>
    <row r="63" spans="1:8" x14ac:dyDescent="0.25">
      <c r="A63" s="45" t="s">
        <v>137</v>
      </c>
      <c r="B63" s="29">
        <f>B52-B62</f>
        <v>13766627</v>
      </c>
      <c r="D63" s="29"/>
    </row>
    <row r="64" spans="1:8" x14ac:dyDescent="0.25">
      <c r="A64" s="43"/>
      <c r="B64" s="29"/>
      <c r="C64" s="40"/>
    </row>
    <row r="65" spans="1:8" ht="16.5" x14ac:dyDescent="0.25">
      <c r="A65" s="48" t="s">
        <v>96</v>
      </c>
      <c r="B65" s="29"/>
      <c r="C65" s="40"/>
      <c r="D65" s="22"/>
      <c r="E65" s="22"/>
      <c r="F65" s="22"/>
      <c r="G65" s="22"/>
      <c r="H65" s="22"/>
    </row>
    <row r="66" spans="1:8" ht="29.25" x14ac:dyDescent="0.25">
      <c r="A66" s="45" t="s">
        <v>97</v>
      </c>
      <c r="B66" s="29">
        <v>45000000</v>
      </c>
      <c r="C66" s="23" t="s">
        <v>104</v>
      </c>
      <c r="D66" s="22"/>
      <c r="E66" s="22"/>
      <c r="F66" s="22"/>
      <c r="G66" s="22"/>
      <c r="H66" s="22"/>
    </row>
    <row r="67" spans="1:8" x14ac:dyDescent="0.25">
      <c r="A67" s="49" t="s">
        <v>168</v>
      </c>
      <c r="B67" s="27">
        <v>16468130</v>
      </c>
      <c r="C67" s="40" t="s">
        <v>177</v>
      </c>
    </row>
    <row r="68" spans="1:8" x14ac:dyDescent="0.25">
      <c r="A68" s="43" t="s">
        <v>98</v>
      </c>
      <c r="B68" s="29">
        <f>B66-B67</f>
        <v>28531870</v>
      </c>
      <c r="C68" s="40"/>
      <c r="D68" s="22"/>
      <c r="E68" s="22"/>
      <c r="F68" s="22"/>
      <c r="G68" s="22"/>
      <c r="H68" s="22"/>
    </row>
    <row r="69" spans="1:8" x14ac:dyDescent="0.25">
      <c r="A69" s="54"/>
      <c r="B69" s="22"/>
      <c r="C69" s="40"/>
      <c r="D69" s="22"/>
      <c r="E69" s="22"/>
      <c r="F69" s="22"/>
      <c r="G69" s="22"/>
      <c r="H69" s="22"/>
    </row>
    <row r="70" spans="1:8" ht="16.5" x14ac:dyDescent="0.25">
      <c r="A70" s="48" t="s">
        <v>107</v>
      </c>
      <c r="B70" s="29"/>
    </row>
    <row r="71" spans="1:8" ht="43.5" x14ac:dyDescent="0.25">
      <c r="A71" s="45" t="s">
        <v>108</v>
      </c>
      <c r="B71" s="29">
        <v>12662200</v>
      </c>
      <c r="C71" s="23" t="s">
        <v>105</v>
      </c>
    </row>
    <row r="72" spans="1:8" ht="42.75" x14ac:dyDescent="0.25">
      <c r="A72" s="50" t="s">
        <v>131</v>
      </c>
      <c r="B72" s="22">
        <f>(1646755+1171865)+4379000+(5204240)</f>
        <v>12401860</v>
      </c>
      <c r="C72" s="51" t="s">
        <v>164</v>
      </c>
      <c r="D72" s="22"/>
      <c r="E72" s="22"/>
      <c r="F72" s="22"/>
      <c r="G72" s="22"/>
      <c r="H72" s="22">
        <f>1646755+1171865+4379000+5204240</f>
        <v>12401860</v>
      </c>
    </row>
    <row r="73" spans="1:8" x14ac:dyDescent="0.25">
      <c r="A73" s="50"/>
      <c r="B73" s="28"/>
      <c r="C73" s="51"/>
      <c r="D73" s="22"/>
      <c r="E73" s="22"/>
      <c r="F73" s="22"/>
      <c r="G73" s="22"/>
      <c r="H73" s="22"/>
    </row>
    <row r="74" spans="1:8" x14ac:dyDescent="0.25">
      <c r="A74" s="45" t="s">
        <v>147</v>
      </c>
      <c r="B74" s="57">
        <f>SUM(B72:B73)</f>
        <v>12401860</v>
      </c>
      <c r="C74" s="51"/>
      <c r="D74" s="22"/>
      <c r="E74" s="22"/>
      <c r="F74" s="22"/>
      <c r="G74" s="22"/>
      <c r="H74" s="22"/>
    </row>
    <row r="75" spans="1:8" x14ac:dyDescent="0.25">
      <c r="A75" s="43" t="s">
        <v>98</v>
      </c>
      <c r="B75" s="29">
        <f>B71-B74</f>
        <v>260340</v>
      </c>
      <c r="C75" s="40"/>
      <c r="D75" s="22"/>
      <c r="E75" s="22"/>
      <c r="F75" s="22"/>
      <c r="G75" s="22"/>
      <c r="H75" s="22"/>
    </row>
    <row r="76" spans="1:8" x14ac:dyDescent="0.25">
      <c r="A76" s="54"/>
      <c r="B76" s="22"/>
      <c r="C76" s="40"/>
      <c r="D76" s="22"/>
      <c r="E76" s="22"/>
      <c r="F76" s="22"/>
      <c r="G76" s="22"/>
      <c r="H76" s="22"/>
    </row>
    <row r="77" spans="1:8" x14ac:dyDescent="0.25">
      <c r="B77" s="22"/>
      <c r="C77" s="40"/>
      <c r="D77" s="22"/>
      <c r="E77" s="22"/>
      <c r="F77" s="22"/>
      <c r="G77" s="22"/>
      <c r="H77" s="22"/>
    </row>
    <row r="78" spans="1:8" x14ac:dyDescent="0.25">
      <c r="B78" s="22"/>
      <c r="C78" s="40"/>
      <c r="D78" s="22"/>
      <c r="E78" s="22"/>
      <c r="F78" s="22"/>
      <c r="G78" s="22"/>
      <c r="H78" s="22"/>
    </row>
    <row r="79" spans="1:8" x14ac:dyDescent="0.25">
      <c r="A79" s="54"/>
      <c r="B79" s="22"/>
      <c r="C79" s="40"/>
      <c r="D79" s="22"/>
      <c r="E79" s="22"/>
      <c r="F79" s="22"/>
      <c r="G79" s="22"/>
      <c r="H79" s="22"/>
    </row>
    <row r="80" spans="1:8" x14ac:dyDescent="0.25">
      <c r="C80" s="40"/>
    </row>
    <row r="81" spans="1:8" x14ac:dyDescent="0.25">
      <c r="B81" s="22"/>
      <c r="C81" s="40"/>
    </row>
    <row r="82" spans="1:8" x14ac:dyDescent="0.25">
      <c r="A82" s="54"/>
      <c r="B82" s="22"/>
      <c r="C82" s="40"/>
      <c r="D82" s="22"/>
      <c r="E82" s="22"/>
      <c r="F82" s="22"/>
      <c r="G82" s="22"/>
      <c r="H82" s="22"/>
    </row>
    <row r="83" spans="1:8" x14ac:dyDescent="0.25">
      <c r="A83" s="54"/>
      <c r="B83" s="22"/>
      <c r="C83" s="40"/>
      <c r="D83" s="22"/>
      <c r="E83" s="22"/>
      <c r="F83" s="22"/>
      <c r="G83" s="22"/>
      <c r="H83" s="22"/>
    </row>
    <row r="84" spans="1:8" x14ac:dyDescent="0.25">
      <c r="A84" s="54"/>
      <c r="B84" s="22"/>
      <c r="C84" s="40"/>
      <c r="D84" s="22"/>
      <c r="E84" s="22"/>
      <c r="F84" s="22"/>
      <c r="G84" s="22"/>
      <c r="H84" s="22"/>
    </row>
    <row r="85" spans="1:8" x14ac:dyDescent="0.25">
      <c r="C85" s="40"/>
    </row>
    <row r="87" spans="1:8" x14ac:dyDescent="0.25">
      <c r="A87" s="43"/>
      <c r="B87" s="34"/>
      <c r="D87" s="34"/>
      <c r="E87" s="34"/>
      <c r="F87" s="34"/>
      <c r="G87" s="34"/>
      <c r="H87" s="34"/>
    </row>
    <row r="89" spans="1:8" x14ac:dyDescent="0.25">
      <c r="C89" s="55"/>
    </row>
    <row r="90" spans="1:8" x14ac:dyDescent="0.25">
      <c r="C90" s="55"/>
    </row>
    <row r="91" spans="1:8" x14ac:dyDescent="0.25">
      <c r="C91" s="55"/>
    </row>
    <row r="92" spans="1:8" x14ac:dyDescent="0.25">
      <c r="C92" s="55"/>
    </row>
    <row r="93" spans="1:8" x14ac:dyDescent="0.25">
      <c r="B93" s="34"/>
      <c r="C93" s="56"/>
      <c r="D93" s="34"/>
      <c r="E93" s="34"/>
      <c r="F93" s="34"/>
      <c r="G93" s="34"/>
      <c r="H93" s="34"/>
    </row>
    <row r="94" spans="1:8" x14ac:dyDescent="0.25">
      <c r="A94" s="43"/>
      <c r="C94" s="56"/>
    </row>
    <row r="95" spans="1:8" x14ac:dyDescent="0.25">
      <c r="C95" s="56"/>
    </row>
    <row r="99" spans="2:8" x14ac:dyDescent="0.25">
      <c r="B99" s="34"/>
      <c r="D99" s="34"/>
      <c r="E99" s="34"/>
      <c r="F99" s="34"/>
      <c r="G99" s="34"/>
      <c r="H99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3"/>
  <sheetViews>
    <sheetView workbookViewId="0">
      <selection activeCell="A26" sqref="A26"/>
    </sheetView>
  </sheetViews>
  <sheetFormatPr defaultColWidth="9.140625" defaultRowHeight="14.25" x14ac:dyDescent="0.2"/>
  <cols>
    <col min="1" max="1" width="183.85546875" style="1" customWidth="1"/>
    <col min="2" max="16384" width="9.140625" style="1"/>
  </cols>
  <sheetData>
    <row r="1" spans="1:1" ht="15" x14ac:dyDescent="0.2">
      <c r="A1" s="32" t="s">
        <v>79</v>
      </c>
    </row>
    <row r="2" spans="1:1" ht="15" x14ac:dyDescent="0.25">
      <c r="A2" s="21" t="s">
        <v>178</v>
      </c>
    </row>
    <row r="3" spans="1:1" ht="15" x14ac:dyDescent="0.25">
      <c r="A3" s="21"/>
    </row>
    <row r="4" spans="1:1" ht="15" x14ac:dyDescent="0.2">
      <c r="A4" s="31" t="s">
        <v>169</v>
      </c>
    </row>
    <row r="5" spans="1:1" x14ac:dyDescent="0.2">
      <c r="A5" s="59" t="s">
        <v>179</v>
      </c>
    </row>
    <row r="6" spans="1:1" x14ac:dyDescent="0.2">
      <c r="A6" s="59" t="s">
        <v>180</v>
      </c>
    </row>
    <row r="7" spans="1:1" x14ac:dyDescent="0.2">
      <c r="A7" s="59" t="s">
        <v>181</v>
      </c>
    </row>
    <row r="8" spans="1:1" x14ac:dyDescent="0.2">
      <c r="A8" s="59" t="s">
        <v>182</v>
      </c>
    </row>
    <row r="9" spans="1:1" x14ac:dyDescent="0.2">
      <c r="A9" s="59" t="s">
        <v>183</v>
      </c>
    </row>
    <row r="10" spans="1:1" x14ac:dyDescent="0.2">
      <c r="A10" s="59" t="s">
        <v>184</v>
      </c>
    </row>
    <row r="11" spans="1:1" x14ac:dyDescent="0.2">
      <c r="A11" s="59" t="s">
        <v>185</v>
      </c>
    </row>
    <row r="12" spans="1:1" x14ac:dyDescent="0.2">
      <c r="A12" s="59" t="s">
        <v>186</v>
      </c>
    </row>
    <row r="13" spans="1:1" x14ac:dyDescent="0.2">
      <c r="A13" s="59" t="s">
        <v>187</v>
      </c>
    </row>
    <row r="14" spans="1:1" x14ac:dyDescent="0.2">
      <c r="A14" s="59" t="s">
        <v>188</v>
      </c>
    </row>
    <row r="15" spans="1:1" x14ac:dyDescent="0.2">
      <c r="A15" s="59" t="s">
        <v>189</v>
      </c>
    </row>
    <row r="16" spans="1:1" x14ac:dyDescent="0.2">
      <c r="A16" s="59" t="s">
        <v>190</v>
      </c>
    </row>
    <row r="17" spans="1:1" ht="28.5" x14ac:dyDescent="0.2">
      <c r="A17" s="59" t="s">
        <v>191</v>
      </c>
    </row>
    <row r="18" spans="1:1" x14ac:dyDescent="0.2">
      <c r="A18" s="59" t="s">
        <v>192</v>
      </c>
    </row>
    <row r="19" spans="1:1" x14ac:dyDescent="0.2">
      <c r="A19" s="59" t="s">
        <v>193</v>
      </c>
    </row>
    <row r="20" spans="1:1" x14ac:dyDescent="0.2">
      <c r="A20" s="59" t="s">
        <v>194</v>
      </c>
    </row>
    <row r="21" spans="1:1" x14ac:dyDescent="0.2">
      <c r="A21" s="59" t="s">
        <v>197</v>
      </c>
    </row>
    <row r="22" spans="1:1" x14ac:dyDescent="0.2">
      <c r="A22" s="59" t="s">
        <v>195</v>
      </c>
    </row>
    <row r="23" spans="1:1" x14ac:dyDescent="0.2">
      <c r="A23" s="31" t="s">
        <v>196</v>
      </c>
    </row>
    <row r="24" spans="1:1" x14ac:dyDescent="0.2">
      <c r="A24" s="31"/>
    </row>
    <row r="25" spans="1:1" ht="15" x14ac:dyDescent="0.2">
      <c r="A25" s="32" t="s">
        <v>170</v>
      </c>
    </row>
    <row r="26" spans="1:1" x14ac:dyDescent="0.2">
      <c r="A26" s="31" t="s">
        <v>199</v>
      </c>
    </row>
    <row r="27" spans="1:1" x14ac:dyDescent="0.2">
      <c r="A27" s="31" t="s">
        <v>122</v>
      </c>
    </row>
    <row r="28" spans="1:1" x14ac:dyDescent="0.2">
      <c r="A28" s="31" t="s">
        <v>148</v>
      </c>
    </row>
    <row r="29" spans="1:1" x14ac:dyDescent="0.2">
      <c r="A29" s="31" t="s">
        <v>124</v>
      </c>
    </row>
    <row r="30" spans="1:1" x14ac:dyDescent="0.2">
      <c r="A30" s="31" t="s">
        <v>123</v>
      </c>
    </row>
    <row r="31" spans="1:1" x14ac:dyDescent="0.2">
      <c r="A31" s="31" t="s">
        <v>126</v>
      </c>
    </row>
    <row r="32" spans="1:1" x14ac:dyDescent="0.2">
      <c r="A32" s="31" t="s">
        <v>125</v>
      </c>
    </row>
    <row r="33" spans="1:1" x14ac:dyDescent="0.2">
      <c r="A33" s="31" t="s">
        <v>80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2023-08-10T17:12:00Z</cp:lastPrinted>
  <dcterms:created xsi:type="dcterms:W3CDTF">2022-02-14T17:49:56Z</dcterms:created>
  <dcterms:modified xsi:type="dcterms:W3CDTF">2024-06-14T14:17:26Z</dcterms:modified>
</cp:coreProperties>
</file>